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Fee Calculator" sheetId="1" r:id="rId4"/>
  </sheets>
  <definedNames/>
  <calcPr/>
</workbook>
</file>

<file path=xl/sharedStrings.xml><?xml version="1.0" encoding="utf-8"?>
<sst xmlns="http://schemas.openxmlformats.org/spreadsheetml/2006/main" count="86" uniqueCount="80">
  <si>
    <t>Assumptions</t>
  </si>
  <si>
    <t>Capital Contribution (Rs.)</t>
  </si>
  <si>
    <t>a</t>
  </si>
  <si>
    <t>50,00,000</t>
  </si>
  <si>
    <t>Management Fee (%age per annum)</t>
  </si>
  <si>
    <t>b</t>
  </si>
  <si>
    <t>p.a</t>
  </si>
  <si>
    <t>Other Expenses (%age per annum)</t>
  </si>
  <si>
    <t>c</t>
  </si>
  <si>
    <t>p.a.</t>
  </si>
  <si>
    <t>Performance (%age per annum)</t>
  </si>
  <si>
    <t>d</t>
  </si>
  <si>
    <t>Hurdle Rate of Return (%age per annum)</t>
  </si>
  <si>
    <t>e</t>
  </si>
  <si>
    <t>High Water Mark ( HWM) logic</t>
  </si>
  <si>
    <t>Included</t>
  </si>
  <si>
    <t>Brokerage and Transaction cost</t>
  </si>
  <si>
    <t>f</t>
  </si>
  <si>
    <t>Actuals</t>
  </si>
  <si>
    <t>Fees</t>
  </si>
  <si>
    <t>Yr 1</t>
  </si>
  <si>
    <t>Yr 2</t>
  </si>
  <si>
    <t>Yr 3</t>
  </si>
  <si>
    <t>Yr 4</t>
  </si>
  <si>
    <t>Yr 5</t>
  </si>
  <si>
    <t>Gain / (Loss)</t>
  </si>
  <si>
    <t>Capital Contributed /Assets under Management</t>
  </si>
  <si>
    <t>i</t>
  </si>
  <si>
    <t>i = a</t>
  </si>
  <si>
    <t>Gain / (Loss) on Investment based on the Scenario</t>
  </si>
  <si>
    <t>ii</t>
  </si>
  <si>
    <t>ii= i*Scenario</t>
  </si>
  <si>
    <t>Gross Value of the Portfolio at the end of the year</t>
  </si>
  <si>
    <t>iii</t>
  </si>
  <si>
    <t>iii= I + ii</t>
  </si>
  <si>
    <t>Daily Weighted Average assets under management</t>
  </si>
  <si>
    <t>iv</t>
  </si>
  <si>
    <t>iv= (i + iii) / 2</t>
  </si>
  <si>
    <t>Other Expense</t>
  </si>
  <si>
    <t>v</t>
  </si>
  <si>
    <t>v= iv x c</t>
  </si>
  <si>
    <t>vi</t>
  </si>
  <si>
    <t>vi= iv x f</t>
  </si>
  <si>
    <t>Management Fees</t>
  </si>
  <si>
    <t>vii</t>
  </si>
  <si>
    <t>vii = (iv +v+ vi) x b</t>
  </si>
  <si>
    <t>Total charges during the year (Sum of v, vi and vii)</t>
  </si>
  <si>
    <t>viii</t>
  </si>
  <si>
    <t>viii = v + vi + vii</t>
  </si>
  <si>
    <t>Value of the Portfolio before Performance fee</t>
  </si>
  <si>
    <t>ix</t>
  </si>
  <si>
    <t>ix = iii + viii</t>
  </si>
  <si>
    <t>High Water Mark Value (HWM)</t>
  </si>
  <si>
    <t>x</t>
  </si>
  <si>
    <t>Hurdle Rate of return</t>
  </si>
  <si>
    <t>xi</t>
  </si>
  <si>
    <t>xi = i x e</t>
  </si>
  <si>
    <t>Portfolio value in excess of Hurdle Rate Return</t>
  </si>
  <si>
    <t>xii</t>
  </si>
  <si>
    <t>Profit eligible for sharing</t>
  </si>
  <si>
    <t>xiii</t>
  </si>
  <si>
    <t>Profit Share To be taken by PMS</t>
  </si>
  <si>
    <t>xiv</t>
  </si>
  <si>
    <t>Is the Performance Fee charged?</t>
  </si>
  <si>
    <t>xvi</t>
  </si>
  <si>
    <t>Net value of the Portfolio at the end of the year after all fees and expenses</t>
  </si>
  <si>
    <t>xvii</t>
  </si>
  <si>
    <t>xvii = ix + xiv</t>
  </si>
  <si>
    <t>% Portfolio Return</t>
  </si>
  <si>
    <t>xviii</t>
  </si>
  <si>
    <t>xviii = ((xvii - i) / i) %</t>
  </si>
  <si>
    <t>High Water Mark to be carried forward for next year</t>
  </si>
  <si>
    <t>xix</t>
  </si>
  <si>
    <t>xix = Max (ix , x)</t>
  </si>
  <si>
    <t>1. Management Fee will be calculated on daily average AUM and will be charged quarterly</t>
  </si>
  <si>
    <t>2. Other Expenses include 2 bps for custody, 2 bps for find accounting, 1 bps for order management system and other ancillary costs</t>
  </si>
  <si>
    <t>3. Investor has an option to chose hurdle rate of 12% p.a. or Nifty TRI</t>
  </si>
  <si>
    <t>4. Brokerage and transaction cost will be as per actuals. Above is an illustrated figure.</t>
  </si>
  <si>
    <t>5. For the first year of investment, high watermark is the same as Net Portfolio Value at the beginning of period.</t>
  </si>
  <si>
    <t>6. Performance Fee is assumed to be charged annually. hopwever, it can be charged at any frequency i.e, Semi-annually or Annually as defined in the PMS agreement and as per extant SEBI guidelines.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</si>
</sst>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rgb="FF000000"/>
      <name val="Calibri"/>
    </font>
    <font>
      <sz val="12.0"/>
      <color rgb="FF000000"/>
      <name val="Calibri"/>
    </font>
    <font/>
    <font>
      <sz val="12.0"/>
      <color rgb="FFFF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CFCF"/>
        <bgColor rgb="FFCFCFCF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Font="1"/>
    <xf borderId="1" fillId="2" fontId="2" numFmtId="0" xfId="0" applyAlignment="1" applyBorder="1" applyFont="1">
      <alignment readingOrder="0"/>
    </xf>
    <xf borderId="2" fillId="2" fontId="1" numFmtId="0" xfId="0" applyBorder="1" applyFont="1"/>
    <xf borderId="3" fillId="2" fontId="1" numFmtId="0" xfId="0" applyAlignment="1" applyBorder="1" applyFont="1">
      <alignment vertical="bottom"/>
    </xf>
    <xf borderId="4" fillId="2" fontId="3" numFmtId="0" xfId="0" applyAlignment="1" applyBorder="1" applyFont="1">
      <alignment readingOrder="0"/>
    </xf>
    <xf borderId="4" fillId="2" fontId="3" numFmtId="0" xfId="0" applyAlignment="1" applyBorder="1" applyFont="1">
      <alignment horizontal="center" readingOrder="0"/>
    </xf>
    <xf borderId="5" fillId="2" fontId="1" numFmtId="0" xfId="0" applyAlignment="1" applyBorder="1" applyFont="1">
      <alignment vertical="bottom"/>
    </xf>
    <xf borderId="4" fillId="3" fontId="3" numFmtId="10" xfId="0" applyAlignment="1" applyBorder="1" applyFill="1" applyFont="1" applyNumberFormat="1">
      <alignment readingOrder="0"/>
    </xf>
    <xf borderId="0" fillId="2" fontId="1" numFmtId="0" xfId="0" applyAlignment="1" applyFont="1">
      <alignment readingOrder="0"/>
    </xf>
    <xf borderId="4" fillId="2" fontId="1" numFmtId="0" xfId="0" applyBorder="1" applyFont="1"/>
    <xf borderId="4" fillId="3" fontId="3" numFmtId="0" xfId="0" applyAlignment="1" applyBorder="1" applyFont="1">
      <alignment horizontal="right" readingOrder="0"/>
    </xf>
    <xf borderId="5" fillId="2" fontId="1" numFmtId="0" xfId="0" applyBorder="1" applyFont="1"/>
    <xf borderId="6" fillId="2" fontId="1" numFmtId="0" xfId="0" applyBorder="1" applyFont="1"/>
    <xf borderId="1" fillId="2" fontId="2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7" fillId="2" fontId="2" numFmtId="0" xfId="0" applyAlignment="1" applyBorder="1" applyFont="1">
      <alignment horizontal="center" readingOrder="0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4" fillId="2" fontId="2" numFmtId="0" xfId="0" applyAlignment="1" applyBorder="1" applyFont="1">
      <alignment horizontal="right" readingOrder="0"/>
    </xf>
    <xf borderId="4" fillId="3" fontId="2" numFmtId="9" xfId="0" applyAlignment="1" applyBorder="1" applyFont="1" applyNumberFormat="1">
      <alignment readingOrder="0"/>
    </xf>
    <xf borderId="7" fillId="2" fontId="3" numFmtId="3" xfId="0" applyAlignment="1" applyBorder="1" applyFont="1" applyNumberFormat="1">
      <alignment horizontal="right" readingOrder="0"/>
    </xf>
    <xf borderId="7" fillId="2" fontId="5" numFmtId="3" xfId="0" applyAlignment="1" applyBorder="1" applyFont="1" applyNumberFormat="1">
      <alignment horizontal="right" readingOrder="0"/>
    </xf>
    <xf borderId="7" fillId="2" fontId="1" numFmtId="0" xfId="0" applyBorder="1" applyFont="1"/>
    <xf borderId="12" fillId="0" fontId="4" numFmtId="0" xfId="0" applyBorder="1" applyFont="1"/>
    <xf borderId="7" fillId="2" fontId="3" numFmtId="4" xfId="0" applyAlignment="1" applyBorder="1" applyFont="1" applyNumberFormat="1">
      <alignment horizontal="right" readingOrder="0"/>
    </xf>
    <xf borderId="7" fillId="2" fontId="5" numFmtId="4" xfId="0" applyAlignment="1" applyBorder="1" applyFont="1" applyNumberFormat="1">
      <alignment horizontal="right" readingOrder="0"/>
    </xf>
    <xf borderId="4" fillId="2" fontId="2" numFmtId="0" xfId="0" applyAlignment="1" applyBorder="1" applyFont="1">
      <alignment readingOrder="0"/>
    </xf>
    <xf borderId="4" fillId="2" fontId="2" numFmtId="0" xfId="0" applyAlignment="1" applyBorder="1" applyFont="1">
      <alignment horizontal="center" readingOrder="0"/>
    </xf>
    <xf borderId="7" fillId="2" fontId="6" numFmtId="4" xfId="0" applyAlignment="1" applyBorder="1" applyFont="1" applyNumberFormat="1">
      <alignment horizontal="right" readingOrder="0"/>
    </xf>
    <xf borderId="4" fillId="2" fontId="1" numFmtId="0" xfId="0" applyAlignment="1" applyBorder="1" applyFont="1">
      <alignment vertical="bottom"/>
    </xf>
    <xf borderId="7" fillId="2" fontId="3" numFmtId="0" xfId="0" applyAlignment="1" applyBorder="1" applyFont="1">
      <alignment horizontal="right" readingOrder="0"/>
    </xf>
    <xf borderId="4" fillId="2" fontId="3" numFmtId="0" xfId="0" applyAlignment="1" applyBorder="1" applyFont="1">
      <alignment readingOrder="0" shrinkToFit="0" wrapText="1"/>
    </xf>
    <xf borderId="7" fillId="2" fontId="3" numFmtId="10" xfId="0" applyAlignment="1" applyBorder="1" applyFont="1" applyNumberFormat="1">
      <alignment horizontal="right" readingOrder="0"/>
    </xf>
    <xf borderId="6" fillId="2" fontId="3" numFmtId="0" xfId="0" applyAlignment="1" applyBorder="1" applyFont="1">
      <alignment readingOrder="0"/>
    </xf>
    <xf borderId="9" fillId="2" fontId="3" numFmtId="0" xfId="0" applyAlignment="1" applyBorder="1" applyFont="1">
      <alignment readingOrder="0"/>
    </xf>
    <xf borderId="10" fillId="2" fontId="1" numFmtId="0" xfId="0" applyBorder="1" applyFont="1"/>
    <xf borderId="1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447675</xdr:colOff>
      <xdr:row>2</xdr:row>
      <xdr:rowOff>85725</xdr:rowOff>
    </xdr:from>
    <xdr:ext cx="1352550" cy="13525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3" max="3" width="47.38"/>
    <col customWidth="1" min="5" max="5" width="18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3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6" t="s">
        <v>1</v>
      </c>
      <c r="D4" s="7" t="s">
        <v>2</v>
      </c>
      <c r="E4" s="6" t="s">
        <v>3</v>
      </c>
      <c r="F4" s="2"/>
      <c r="G4" s="2"/>
      <c r="H4" s="2"/>
      <c r="I4" s="2"/>
      <c r="J4" s="2"/>
      <c r="K4" s="2"/>
      <c r="L4" s="2"/>
      <c r="M4" s="2"/>
      <c r="N4" s="2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/>
      <c r="C5" s="6" t="s">
        <v>4</v>
      </c>
      <c r="D5" s="7" t="s">
        <v>5</v>
      </c>
      <c r="E5" s="9">
        <v>0.0075</v>
      </c>
      <c r="F5" s="10" t="s">
        <v>6</v>
      </c>
      <c r="G5" s="2"/>
      <c r="H5" s="2"/>
      <c r="I5" s="2"/>
      <c r="J5" s="2"/>
      <c r="K5" s="2"/>
      <c r="L5" s="2"/>
      <c r="M5" s="2"/>
      <c r="N5" s="2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6" t="s">
        <v>7</v>
      </c>
      <c r="D6" s="7" t="s">
        <v>8</v>
      </c>
      <c r="E6" s="9">
        <v>0.001</v>
      </c>
      <c r="F6" s="10" t="s">
        <v>9</v>
      </c>
      <c r="G6" s="2"/>
      <c r="H6" s="2"/>
      <c r="I6" s="2"/>
      <c r="J6" s="2"/>
      <c r="K6" s="2"/>
      <c r="L6" s="2"/>
      <c r="M6" s="2"/>
      <c r="N6" s="2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6" t="s">
        <v>10</v>
      </c>
      <c r="D7" s="7" t="s">
        <v>11</v>
      </c>
      <c r="E7" s="9">
        <v>0.2</v>
      </c>
      <c r="F7" s="2"/>
      <c r="G7" s="2"/>
      <c r="H7" s="2"/>
      <c r="I7" s="2"/>
      <c r="J7" s="2"/>
      <c r="K7" s="2"/>
      <c r="L7" s="2"/>
      <c r="M7" s="2"/>
      <c r="N7" s="2"/>
      <c r="O7" s="8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6" t="s">
        <v>12</v>
      </c>
      <c r="D8" s="7" t="s">
        <v>13</v>
      </c>
      <c r="E8" s="9">
        <v>0.12</v>
      </c>
      <c r="F8" s="10" t="s">
        <v>9</v>
      </c>
      <c r="G8" s="2"/>
      <c r="H8" s="2"/>
      <c r="I8" s="2"/>
      <c r="J8" s="2"/>
      <c r="K8" s="2"/>
      <c r="L8" s="2"/>
      <c r="M8" s="2"/>
      <c r="N8" s="2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6" t="s">
        <v>14</v>
      </c>
      <c r="D9" s="11"/>
      <c r="E9" s="12" t="s">
        <v>15</v>
      </c>
      <c r="F9" s="2"/>
      <c r="G9" s="2"/>
      <c r="H9" s="2"/>
      <c r="I9" s="2"/>
      <c r="J9" s="2"/>
      <c r="K9" s="2"/>
      <c r="L9" s="2"/>
      <c r="M9" s="2"/>
      <c r="N9" s="2"/>
      <c r="O9" s="13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"/>
      <c r="C10" s="6" t="s">
        <v>16</v>
      </c>
      <c r="D10" s="7" t="s">
        <v>17</v>
      </c>
      <c r="E10" s="9">
        <v>0.002</v>
      </c>
      <c r="F10" s="10" t="s">
        <v>18</v>
      </c>
      <c r="G10" s="2"/>
      <c r="H10" s="2"/>
      <c r="I10" s="2"/>
      <c r="J10" s="2"/>
      <c r="K10" s="2"/>
      <c r="L10" s="2"/>
      <c r="M10" s="2"/>
      <c r="N10" s="2"/>
      <c r="O10" s="13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/>
      <c r="C11" s="1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2"/>
      <c r="C12" s="15" t="s">
        <v>19</v>
      </c>
      <c r="D12" s="16"/>
      <c r="E12" s="17"/>
      <c r="F12" s="18" t="s">
        <v>20</v>
      </c>
      <c r="G12" s="19"/>
      <c r="H12" s="18" t="s">
        <v>21</v>
      </c>
      <c r="I12" s="19"/>
      <c r="J12" s="18" t="s">
        <v>22</v>
      </c>
      <c r="K12" s="19"/>
      <c r="L12" s="18" t="s">
        <v>23</v>
      </c>
      <c r="M12" s="19"/>
      <c r="N12" s="18" t="s">
        <v>24</v>
      </c>
      <c r="O12" s="1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2"/>
      <c r="C13" s="20"/>
      <c r="D13" s="21"/>
      <c r="E13" s="22"/>
      <c r="F13" s="23" t="s">
        <v>25</v>
      </c>
      <c r="G13" s="24">
        <v>0.2</v>
      </c>
      <c r="H13" s="23" t="s">
        <v>25</v>
      </c>
      <c r="I13" s="24">
        <v>-0.25</v>
      </c>
      <c r="J13" s="23" t="s">
        <v>25</v>
      </c>
      <c r="K13" s="24">
        <v>0.5</v>
      </c>
      <c r="L13" s="23" t="s">
        <v>25</v>
      </c>
      <c r="M13" s="24">
        <v>0.25</v>
      </c>
      <c r="N13" s="23" t="s">
        <v>25</v>
      </c>
      <c r="O13" s="24">
        <v>0.05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2"/>
      <c r="C14" s="6" t="s">
        <v>26</v>
      </c>
      <c r="D14" s="7" t="s">
        <v>27</v>
      </c>
      <c r="E14" s="6" t="s">
        <v>28</v>
      </c>
      <c r="F14" s="25">
        <v>5000000.0</v>
      </c>
      <c r="G14" s="19"/>
      <c r="H14" s="25">
        <f>F34</f>
        <v>5873899</v>
      </c>
      <c r="I14" s="19"/>
      <c r="J14" s="25">
        <f>H34</f>
        <v>4351573.4</v>
      </c>
      <c r="K14" s="19"/>
      <c r="L14" s="25">
        <f>J34</f>
        <v>6470368.2</v>
      </c>
      <c r="M14" s="19"/>
      <c r="N14" s="25">
        <f>L34</f>
        <v>7858716.7</v>
      </c>
      <c r="O14" s="1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2"/>
      <c r="C15" s="6" t="s">
        <v>29</v>
      </c>
      <c r="D15" s="7" t="s">
        <v>30</v>
      </c>
      <c r="E15" s="6" t="s">
        <v>31</v>
      </c>
      <c r="F15" s="25">
        <f>F14*G13</f>
        <v>1000000</v>
      </c>
      <c r="G15" s="19"/>
      <c r="H15" s="26">
        <f>H14*I13</f>
        <v>-1468474.75</v>
      </c>
      <c r="I15" s="19"/>
      <c r="J15" s="25">
        <f>J14*K13</f>
        <v>2175786.7</v>
      </c>
      <c r="K15" s="19"/>
      <c r="L15" s="25">
        <f>L14*M13</f>
        <v>1617592.05</v>
      </c>
      <c r="M15" s="19"/>
      <c r="N15" s="25">
        <f>N14*O13</f>
        <v>392935.835</v>
      </c>
      <c r="O15" s="1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2"/>
      <c r="C16" s="6" t="s">
        <v>32</v>
      </c>
      <c r="D16" s="7" t="s">
        <v>33</v>
      </c>
      <c r="E16" s="6" t="s">
        <v>34</v>
      </c>
      <c r="F16" s="25">
        <f>F14+F15</f>
        <v>6000000</v>
      </c>
      <c r="G16" s="19"/>
      <c r="H16" s="25">
        <v>4405424.0</v>
      </c>
      <c r="I16" s="19"/>
      <c r="J16" s="25">
        <v>6527360.0</v>
      </c>
      <c r="K16" s="19"/>
      <c r="L16" s="25">
        <v>8087960.0</v>
      </c>
      <c r="M16" s="19"/>
      <c r="N16" s="25">
        <v>8251653.0</v>
      </c>
      <c r="O16" s="1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2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2"/>
      <c r="C18" s="6" t="s">
        <v>35</v>
      </c>
      <c r="D18" s="7" t="s">
        <v>36</v>
      </c>
      <c r="E18" s="6" t="s">
        <v>37</v>
      </c>
      <c r="F18" s="29">
        <f>average(F14,F16)</f>
        <v>5500000</v>
      </c>
      <c r="G18" s="19"/>
      <c r="H18" s="29">
        <f>average(H14,H16)</f>
        <v>5139661.5</v>
      </c>
      <c r="I18" s="19"/>
      <c r="J18" s="29">
        <f>average(J14,J16)</f>
        <v>5439466.7</v>
      </c>
      <c r="K18" s="19"/>
      <c r="L18" s="29">
        <f>average(L14,L16)</f>
        <v>7279164.1</v>
      </c>
      <c r="M18" s="19"/>
      <c r="N18" s="29">
        <f>average(N14,N16)</f>
        <v>8055184.85</v>
      </c>
      <c r="O18" s="1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2"/>
      <c r="C19" s="27"/>
      <c r="D19" s="28"/>
      <c r="E19" s="28"/>
      <c r="F19" s="28"/>
      <c r="G19" s="28"/>
      <c r="H19" s="28"/>
      <c r="I19" s="28"/>
      <c r="J19" s="28"/>
      <c r="K19" s="19"/>
      <c r="L19" s="27"/>
      <c r="M19" s="19"/>
      <c r="N19" s="27"/>
      <c r="O19" s="1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2"/>
      <c r="C20" s="6" t="s">
        <v>38</v>
      </c>
      <c r="D20" s="7" t="s">
        <v>39</v>
      </c>
      <c r="E20" s="6" t="s">
        <v>40</v>
      </c>
      <c r="F20" s="26">
        <f>-F18*$E$6</f>
        <v>-5500</v>
      </c>
      <c r="G20" s="19"/>
      <c r="H20" s="26">
        <f>-H18*$E$6</f>
        <v>-5139.6615</v>
      </c>
      <c r="I20" s="19"/>
      <c r="J20" s="26">
        <f>-J18*$E$6</f>
        <v>-5439.4667</v>
      </c>
      <c r="K20" s="19"/>
      <c r="L20" s="26">
        <f>-L18*$E$6</f>
        <v>-7279.1641</v>
      </c>
      <c r="M20" s="19"/>
      <c r="N20" s="26">
        <f>-N18*$E$6</f>
        <v>-8055.18485</v>
      </c>
      <c r="O20" s="1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2"/>
      <c r="C21" s="6" t="s">
        <v>16</v>
      </c>
      <c r="D21" s="7" t="s">
        <v>41</v>
      </c>
      <c r="E21" s="6" t="s">
        <v>42</v>
      </c>
      <c r="F21" s="26">
        <f>F18*-$E$10</f>
        <v>-11000</v>
      </c>
      <c r="G21" s="19"/>
      <c r="H21" s="26">
        <f>H18*-$E$10</f>
        <v>-10279.323</v>
      </c>
      <c r="I21" s="19"/>
      <c r="J21" s="26">
        <f>J18*-$E$10</f>
        <v>-10878.9334</v>
      </c>
      <c r="K21" s="19"/>
      <c r="L21" s="26">
        <f>L18*-$E$10</f>
        <v>-14558.3282</v>
      </c>
      <c r="M21" s="19"/>
      <c r="N21" s="26">
        <f>N18*-$E$10</f>
        <v>-16110.3697</v>
      </c>
      <c r="O21" s="1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2"/>
      <c r="C22" s="6" t="s">
        <v>43</v>
      </c>
      <c r="D22" s="7" t="s">
        <v>44</v>
      </c>
      <c r="E22" s="6" t="s">
        <v>45</v>
      </c>
      <c r="F22" s="30">
        <f>(F18+F20+F21)*-$E$5</f>
        <v>-41126.25</v>
      </c>
      <c r="G22" s="19"/>
      <c r="H22" s="30">
        <f>(H18+H20+H21)*-$E$5</f>
        <v>-38431.81887</v>
      </c>
      <c r="I22" s="19"/>
      <c r="J22" s="30">
        <f>(J18+J20+J21)*-$E$5</f>
        <v>-40673.61225</v>
      </c>
      <c r="K22" s="19"/>
      <c r="L22" s="30">
        <f>(L18+L20+L21)*-$E$5</f>
        <v>-54429.94956</v>
      </c>
      <c r="M22" s="19"/>
      <c r="N22" s="30">
        <f>(N18+N20+N21)*-$E$5</f>
        <v>-60232.64472</v>
      </c>
      <c r="O22" s="1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2"/>
      <c r="C23" s="31" t="s">
        <v>46</v>
      </c>
      <c r="D23" s="32" t="s">
        <v>47</v>
      </c>
      <c r="E23" s="31" t="s">
        <v>48</v>
      </c>
      <c r="F23" s="33">
        <f>sum(F20:G22)</f>
        <v>-57626.25</v>
      </c>
      <c r="G23" s="19"/>
      <c r="H23" s="33">
        <f>sum(H20:I22)</f>
        <v>-53850.80337</v>
      </c>
      <c r="I23" s="19"/>
      <c r="J23" s="33">
        <f>sum(J20:K22)</f>
        <v>-56992.01235</v>
      </c>
      <c r="K23" s="19"/>
      <c r="L23" s="33">
        <f>sum(L20:M22)</f>
        <v>-76267.44186</v>
      </c>
      <c r="M23" s="19"/>
      <c r="N23" s="33">
        <f>sum(N20:O22)</f>
        <v>-84398.19927</v>
      </c>
      <c r="O23" s="1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2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2"/>
      <c r="C25" s="6" t="s">
        <v>49</v>
      </c>
      <c r="D25" s="7" t="s">
        <v>50</v>
      </c>
      <c r="E25" s="6" t="s">
        <v>51</v>
      </c>
      <c r="F25" s="25">
        <f>F16+F23</f>
        <v>5942373.75</v>
      </c>
      <c r="G25" s="19"/>
      <c r="H25" s="25">
        <f>H16+H23</f>
        <v>4351573.197</v>
      </c>
      <c r="I25" s="19"/>
      <c r="J25" s="25">
        <f>J16+J23</f>
        <v>6470367.988</v>
      </c>
      <c r="K25" s="19"/>
      <c r="L25" s="25">
        <f>L16+L23</f>
        <v>8011692.558</v>
      </c>
      <c r="M25" s="19"/>
      <c r="N25" s="25">
        <f>N16+N23</f>
        <v>8167254.801</v>
      </c>
      <c r="O25" s="19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2"/>
      <c r="C26" s="6" t="s">
        <v>52</v>
      </c>
      <c r="D26" s="7" t="s">
        <v>53</v>
      </c>
      <c r="E26" s="11"/>
      <c r="F26" s="25">
        <f>F14</f>
        <v>5000000</v>
      </c>
      <c r="G26" s="19"/>
      <c r="H26" s="25">
        <f>F37</f>
        <v>5942374</v>
      </c>
      <c r="I26" s="19"/>
      <c r="J26" s="25">
        <f>H37</f>
        <v>5942374</v>
      </c>
      <c r="K26" s="19"/>
      <c r="L26" s="25">
        <f>J37</f>
        <v>6470368</v>
      </c>
      <c r="M26" s="19"/>
      <c r="N26" s="25">
        <f>L37</f>
        <v>8011693</v>
      </c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2"/>
      <c r="C27" s="6" t="s">
        <v>54</v>
      </c>
      <c r="D27" s="7" t="s">
        <v>55</v>
      </c>
      <c r="E27" s="6" t="s">
        <v>56</v>
      </c>
      <c r="F27" s="25">
        <f>F26*$E$8</f>
        <v>600000</v>
      </c>
      <c r="G27" s="19"/>
      <c r="H27" s="25">
        <f>H26*$E$8</f>
        <v>713084.88</v>
      </c>
      <c r="I27" s="19"/>
      <c r="J27" s="25">
        <f>J26*$E$8</f>
        <v>713084.88</v>
      </c>
      <c r="K27" s="19"/>
      <c r="L27" s="25">
        <f>L26*$E$8</f>
        <v>776444.16</v>
      </c>
      <c r="M27" s="19"/>
      <c r="N27" s="25">
        <f>N26*$E$8</f>
        <v>961403.16</v>
      </c>
      <c r="O27" s="1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2"/>
      <c r="C28" s="11"/>
      <c r="D28" s="11"/>
      <c r="E28" s="34"/>
      <c r="F28" s="27"/>
      <c r="G28" s="19"/>
      <c r="H28" s="27"/>
      <c r="I28" s="19"/>
      <c r="J28" s="27"/>
      <c r="K28" s="19"/>
      <c r="L28" s="27"/>
      <c r="M28" s="19"/>
      <c r="N28" s="27"/>
      <c r="O28" s="1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2"/>
      <c r="C29" s="6" t="s">
        <v>57</v>
      </c>
      <c r="D29" s="7" t="s">
        <v>58</v>
      </c>
      <c r="E29" s="11"/>
      <c r="F29" s="25">
        <f>F25-(F26+F27)</f>
        <v>342373.75</v>
      </c>
      <c r="G29" s="19"/>
      <c r="H29" s="26">
        <f>H25-(H26+H27)</f>
        <v>-2303885.683</v>
      </c>
      <c r="I29" s="19"/>
      <c r="J29" s="26">
        <f>J25-(J26+J27)</f>
        <v>-185090.8923</v>
      </c>
      <c r="K29" s="19"/>
      <c r="L29" s="25">
        <f>L25-(L26+L27)</f>
        <v>764880.3981</v>
      </c>
      <c r="M29" s="19"/>
      <c r="N29" s="26">
        <f>N25-(N26+N27)</f>
        <v>-805841.3593</v>
      </c>
      <c r="O29" s="1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2"/>
      <c r="C30" s="6" t="s">
        <v>59</v>
      </c>
      <c r="D30" s="7" t="s">
        <v>60</v>
      </c>
      <c r="E30" s="11"/>
      <c r="F30" s="29">
        <f>if(F32="yes",(F25-F26-F27),0)</f>
        <v>342373.75</v>
      </c>
      <c r="G30" s="19"/>
      <c r="H30" s="29">
        <f>if(H32="yes",(H25-H26-H27),0)</f>
        <v>0</v>
      </c>
      <c r="I30" s="19"/>
      <c r="J30" s="29">
        <f>if(J32="yes",(J25-J26-J27),0)</f>
        <v>0</v>
      </c>
      <c r="K30" s="19"/>
      <c r="L30" s="29">
        <f>if(L32="yes",(L25-L26-L27),0)</f>
        <v>764880.3981</v>
      </c>
      <c r="M30" s="19"/>
      <c r="N30" s="29">
        <f>if(N32="yes",(N25-N26-N27),0)</f>
        <v>0</v>
      </c>
      <c r="O30" s="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2"/>
      <c r="C31" s="6" t="s">
        <v>61</v>
      </c>
      <c r="D31" s="7" t="s">
        <v>62</v>
      </c>
      <c r="E31" s="11"/>
      <c r="F31" s="30">
        <v>-68474.75</v>
      </c>
      <c r="G31" s="19"/>
      <c r="H31" s="35">
        <v>0.0</v>
      </c>
      <c r="I31" s="19"/>
      <c r="J31" s="35">
        <v>0.0</v>
      </c>
      <c r="K31" s="19"/>
      <c r="L31" s="30">
        <v>-152976.08</v>
      </c>
      <c r="M31" s="19"/>
      <c r="N31" s="35">
        <v>0.0</v>
      </c>
      <c r="O31" s="1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2"/>
      <c r="C32" s="6" t="s">
        <v>63</v>
      </c>
      <c r="D32" s="7" t="s">
        <v>64</v>
      </c>
      <c r="E32" s="11"/>
      <c r="F32" s="35" t="str">
        <f>if(F25&gt;(F26+F27),"Yes","No")</f>
        <v>Yes</v>
      </c>
      <c r="G32" s="19"/>
      <c r="H32" s="35" t="str">
        <f>if(H25&gt;(H26+H27),"Yes","No")</f>
        <v>No</v>
      </c>
      <c r="I32" s="19"/>
      <c r="J32" s="35" t="str">
        <f>if(J25&gt;(J26+J27),"Yes","No")</f>
        <v>No</v>
      </c>
      <c r="K32" s="19"/>
      <c r="L32" s="35" t="str">
        <f>if(L25&gt;(L26+L27),"Yes","No")</f>
        <v>Yes</v>
      </c>
      <c r="M32" s="19"/>
      <c r="N32" s="35" t="str">
        <f>if(N25&gt;(N26+N27),"Yes","No")</f>
        <v>No</v>
      </c>
      <c r="O32" s="1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2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"/>
      <c r="B34" s="2"/>
      <c r="C34" s="36" t="s">
        <v>65</v>
      </c>
      <c r="D34" s="7" t="s">
        <v>66</v>
      </c>
      <c r="E34" s="6" t="s">
        <v>67</v>
      </c>
      <c r="F34" s="29">
        <v>5873899.0</v>
      </c>
      <c r="G34" s="19"/>
      <c r="H34" s="29">
        <v>4351573.4</v>
      </c>
      <c r="I34" s="19"/>
      <c r="J34" s="29">
        <v>6470368.2</v>
      </c>
      <c r="K34" s="19"/>
      <c r="L34" s="29">
        <v>7858716.7</v>
      </c>
      <c r="M34" s="19"/>
      <c r="N34" s="29">
        <v>8167254.3</v>
      </c>
      <c r="O34" s="1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"/>
      <c r="B35" s="2"/>
      <c r="C35" s="6" t="s">
        <v>68</v>
      </c>
      <c r="D35" s="7" t="s">
        <v>69</v>
      </c>
      <c r="E35" s="6" t="s">
        <v>70</v>
      </c>
      <c r="F35" s="37">
        <v>0.1748</v>
      </c>
      <c r="G35" s="19"/>
      <c r="H35" s="37">
        <v>-0.2592</v>
      </c>
      <c r="I35" s="19"/>
      <c r="J35" s="37">
        <v>0.4869</v>
      </c>
      <c r="K35" s="19"/>
      <c r="L35" s="37">
        <v>0.2146</v>
      </c>
      <c r="M35" s="19"/>
      <c r="N35" s="37">
        <v>0.0393</v>
      </c>
      <c r="O35" s="1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"/>
      <c r="B36" s="2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"/>
      <c r="B37" s="2"/>
      <c r="C37" s="31" t="s">
        <v>71</v>
      </c>
      <c r="D37" s="7" t="s">
        <v>72</v>
      </c>
      <c r="E37" s="6" t="s">
        <v>73</v>
      </c>
      <c r="F37" s="25">
        <v>5942374.0</v>
      </c>
      <c r="G37" s="19"/>
      <c r="H37" s="25">
        <v>5942374.0</v>
      </c>
      <c r="I37" s="19"/>
      <c r="J37" s="25">
        <v>6470368.0</v>
      </c>
      <c r="K37" s="19"/>
      <c r="L37" s="25">
        <v>8011693.0</v>
      </c>
      <c r="M37" s="19"/>
      <c r="N37" s="25">
        <v>8167254.0</v>
      </c>
      <c r="O37" s="1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"/>
      <c r="B38" s="2"/>
      <c r="C38" s="1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"/>
      <c r="B39" s="2"/>
      <c r="C39" s="38" t="s">
        <v>74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"/>
      <c r="B40" s="2"/>
      <c r="C40" s="38" t="s">
        <v>75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/>
      <c r="B41" s="2"/>
      <c r="C41" s="38" t="s">
        <v>76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/>
      <c r="B42" s="2"/>
      <c r="C42" s="38" t="s">
        <v>77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/>
      <c r="B43" s="2"/>
      <c r="C43" s="38" t="s">
        <v>78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/>
      <c r="B44" s="2"/>
      <c r="C44" s="39" t="s">
        <v>79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</sheetData>
  <mergeCells count="108">
    <mergeCell ref="L21:M21"/>
    <mergeCell ref="N21:O21"/>
    <mergeCell ref="L22:M22"/>
    <mergeCell ref="N22:O22"/>
    <mergeCell ref="L23:M23"/>
    <mergeCell ref="N23:O23"/>
    <mergeCell ref="H21:I21"/>
    <mergeCell ref="J21:K21"/>
    <mergeCell ref="F22:G22"/>
    <mergeCell ref="H22:I22"/>
    <mergeCell ref="J22:K22"/>
    <mergeCell ref="F23:G23"/>
    <mergeCell ref="H23:I23"/>
    <mergeCell ref="L14:M14"/>
    <mergeCell ref="N14:O14"/>
    <mergeCell ref="L15:M15"/>
    <mergeCell ref="N15:O15"/>
    <mergeCell ref="L16:M16"/>
    <mergeCell ref="N16:O16"/>
    <mergeCell ref="C12:E13"/>
    <mergeCell ref="F12:G12"/>
    <mergeCell ref="H12:I12"/>
    <mergeCell ref="J12:K12"/>
    <mergeCell ref="L12:M12"/>
    <mergeCell ref="N12:O12"/>
    <mergeCell ref="F14:G14"/>
    <mergeCell ref="J16:K16"/>
    <mergeCell ref="C17:O17"/>
    <mergeCell ref="H14:I14"/>
    <mergeCell ref="J14:K14"/>
    <mergeCell ref="F15:G15"/>
    <mergeCell ref="H15:I15"/>
    <mergeCell ref="J15:K15"/>
    <mergeCell ref="F16:G16"/>
    <mergeCell ref="H16:I16"/>
    <mergeCell ref="H18:I18"/>
    <mergeCell ref="J18:K18"/>
    <mergeCell ref="L18:M18"/>
    <mergeCell ref="N18:O18"/>
    <mergeCell ref="C19:K19"/>
    <mergeCell ref="L19:M19"/>
    <mergeCell ref="N19:O19"/>
    <mergeCell ref="F18:G18"/>
    <mergeCell ref="F20:G20"/>
    <mergeCell ref="H20:I20"/>
    <mergeCell ref="J20:K20"/>
    <mergeCell ref="L20:M20"/>
    <mergeCell ref="N20:O20"/>
    <mergeCell ref="F21:G21"/>
    <mergeCell ref="J23:K23"/>
    <mergeCell ref="C24:O24"/>
    <mergeCell ref="F25:G25"/>
    <mergeCell ref="H25:I25"/>
    <mergeCell ref="J25:K25"/>
    <mergeCell ref="L25:M25"/>
    <mergeCell ref="N25:O25"/>
    <mergeCell ref="N35:O35"/>
    <mergeCell ref="C36:O36"/>
    <mergeCell ref="F37:G37"/>
    <mergeCell ref="H37:I37"/>
    <mergeCell ref="J37:K37"/>
    <mergeCell ref="L37:M37"/>
    <mergeCell ref="N37:O37"/>
    <mergeCell ref="F34:G34"/>
    <mergeCell ref="H34:I34"/>
    <mergeCell ref="J34:K34"/>
    <mergeCell ref="L34:M34"/>
    <mergeCell ref="N34:O34"/>
    <mergeCell ref="F35:G35"/>
    <mergeCell ref="H35:I35"/>
    <mergeCell ref="J27:K27"/>
    <mergeCell ref="L27:M27"/>
    <mergeCell ref="F26:G26"/>
    <mergeCell ref="H26:I26"/>
    <mergeCell ref="J26:K26"/>
    <mergeCell ref="L26:M26"/>
    <mergeCell ref="N26:O26"/>
    <mergeCell ref="H27:I27"/>
    <mergeCell ref="N27:O27"/>
    <mergeCell ref="L29:M29"/>
    <mergeCell ref="N29:O29"/>
    <mergeCell ref="L30:M30"/>
    <mergeCell ref="N30:O30"/>
    <mergeCell ref="L31:M31"/>
    <mergeCell ref="N31:O31"/>
    <mergeCell ref="F27:G27"/>
    <mergeCell ref="F28:G28"/>
    <mergeCell ref="H28:I28"/>
    <mergeCell ref="J28:K28"/>
    <mergeCell ref="L28:M28"/>
    <mergeCell ref="N28:O28"/>
    <mergeCell ref="F29:G29"/>
    <mergeCell ref="H29:I29"/>
    <mergeCell ref="J29:K29"/>
    <mergeCell ref="F30:G30"/>
    <mergeCell ref="H30:I30"/>
    <mergeCell ref="J30:K30"/>
    <mergeCell ref="H31:I31"/>
    <mergeCell ref="J31:K31"/>
    <mergeCell ref="F31:G31"/>
    <mergeCell ref="F32:G32"/>
    <mergeCell ref="H32:I32"/>
    <mergeCell ref="J32:K32"/>
    <mergeCell ref="L32:M32"/>
    <mergeCell ref="N32:O32"/>
    <mergeCell ref="C33:O33"/>
    <mergeCell ref="J35:K35"/>
    <mergeCell ref="L35:M3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